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usiness Operations Documents\Administrative Support\Jordan Pulliam\Website Update Docs\Finance\"/>
    </mc:Choice>
  </mc:AlternateContent>
  <xr:revisionPtr revIDLastSave="0" documentId="8_{9CD7C170-475E-4571-AAA8-BC0FA62EB626}" xr6:coauthVersionLast="47" xr6:coauthVersionMax="47" xr10:uidLastSave="{00000000-0000-0000-0000-000000000000}"/>
  <workbookProtection workbookAlgorithmName="SHA-512" workbookHashValue="4cmvoHbcpbUVBYH5NNZD7roCQv2VnuHgd1idN3uaRAYw0cgoS+rVuT9GqbpXdHLV9EIyCrj0xhQoURc5XzYrHQ==" workbookSaltValue="kIZLOgM057nf0/G3OzlXrg==" workbookSpinCount="100000" lockStructure="1"/>
  <bookViews>
    <workbookView xWindow="57480" yWindow="-150" windowWidth="29040" windowHeight="15720" xr2:uid="{FF52B387-0502-4B20-B4DE-C7B137F05818}"/>
  </bookViews>
  <sheets>
    <sheet name="Summer Salary Fringe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9" i="1" l="1"/>
  <c r="E11" i="1"/>
  <c r="E8" i="1"/>
  <c r="E19" i="1"/>
  <c r="E22" i="1"/>
  <c r="L17" i="1"/>
  <c r="L15" i="1" l="1"/>
  <c r="D18" i="1"/>
  <c r="L16" i="1" l="1"/>
  <c r="D9" i="1" l="1"/>
  <c r="D14" i="1" s="1"/>
  <c r="D21" i="1" s="1"/>
  <c r="D16" i="1" l="1"/>
  <c r="D20" i="1"/>
  <c r="D19" i="1"/>
  <c r="D17" i="1"/>
  <c r="D22" i="1"/>
  <c r="D24" i="1" l="1"/>
  <c r="D25" i="1" s="1"/>
  <c r="D27" i="1" l="1"/>
  <c r="D28" i="1" s="1"/>
</calcChain>
</file>

<file path=xl/sharedStrings.xml><?xml version="1.0" encoding="utf-8"?>
<sst xmlns="http://schemas.openxmlformats.org/spreadsheetml/2006/main" count="45" uniqueCount="40">
  <si>
    <t>Benefits</t>
  </si>
  <si>
    <t>Rates</t>
  </si>
  <si>
    <t>Social Security (515120)</t>
  </si>
  <si>
    <t>Medicare (515130)</t>
  </si>
  <si>
    <t>Health (515530)</t>
  </si>
  <si>
    <t>Composite Benefit Fund (516120)</t>
  </si>
  <si>
    <t>Transit Fee (521110)</t>
  </si>
  <si>
    <t>Telecom Fee (521210)</t>
  </si>
  <si>
    <t>Retirement (515210 State, 515410 TIAA, 515450 Fidelity)</t>
  </si>
  <si>
    <t>Total Benefits</t>
  </si>
  <si>
    <t>Benefit Rate</t>
  </si>
  <si>
    <t>Available Funding</t>
  </si>
  <si>
    <t>Summer Salary Total</t>
  </si>
  <si>
    <t>up to</t>
  </si>
  <si>
    <t>per month</t>
  </si>
  <si>
    <t>State</t>
  </si>
  <si>
    <t>ORP</t>
  </si>
  <si>
    <t>Total monthly earnings</t>
  </si>
  <si>
    <t>b</t>
  </si>
  <si>
    <t>a</t>
  </si>
  <si>
    <t>c</t>
  </si>
  <si>
    <t>TSERS</t>
  </si>
  <si>
    <t>Retirement Plan</t>
  </si>
  <si>
    <t>State (TSERS)</t>
  </si>
  <si>
    <t>Non-State</t>
  </si>
  <si>
    <t>Funding Type</t>
  </si>
  <si>
    <t>Non-State only</t>
  </si>
  <si>
    <t>9-month Base Salary Rate (do not include supplements)</t>
  </si>
  <si>
    <t>Calculation type</t>
  </si>
  <si>
    <t>Know total available, determining summer salary amount</t>
  </si>
  <si>
    <t>Know summer salary amount, determining total cost</t>
  </si>
  <si>
    <t>Summer Salary Benefits Cost</t>
  </si>
  <si>
    <t>Total Summer Salary Cost (salary + benefits)</t>
  </si>
  <si>
    <t>Calculation:</t>
  </si>
  <si>
    <t>Scratch area</t>
  </si>
  <si>
    <t>Directions:</t>
  </si>
  <si>
    <t>1. Enter salary, benefits, funding, and calculation type in the tan cells</t>
  </si>
  <si>
    <t>2. A cell will highlight yellow based on calculation type to enter available funding or summer salary amount</t>
  </si>
  <si>
    <t>3. Output will apprear in the green cells</t>
  </si>
  <si>
    <t>Summer Salary Fringe Benefit Calculator (FY2024)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</si>
</sst>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%"/>
    <numFmt numFmtId="168" formatCode="_(* #,##0.0000_);_(* \(#,##0.00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CG Times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quotePrefix="1" applyAlignment="1">
      <alignment horizontal="left"/>
    </xf>
    <xf numFmtId="3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/>
    <xf numFmtId="10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43" fontId="0" fillId="0" borderId="0" xfId="1" applyFont="1"/>
    <xf numFmtId="44" fontId="0" fillId="0" borderId="0" xfId="2" applyFont="1"/>
    <xf numFmtId="166" fontId="0" fillId="0" borderId="0" xfId="2" applyNumberFormat="1" applyFont="1"/>
    <xf numFmtId="166" fontId="0" fillId="0" borderId="1" xfId="2" applyNumberFormat="1" applyFont="1" applyBorder="1"/>
    <xf numFmtId="167" fontId="0" fillId="0" borderId="2" xfId="3" applyNumberFormat="1" applyFont="1" applyBorder="1"/>
    <xf numFmtId="10" fontId="0" fillId="0" borderId="0" xfId="3" applyNumberFormat="1" applyFont="1"/>
    <xf numFmtId="44" fontId="0" fillId="2" borderId="0" xfId="2" applyFont="1" applyFill="1"/>
    <xf numFmtId="44" fontId="0" fillId="0" borderId="0" xfId="2" applyFont="1" applyBorder="1"/>
    <xf numFmtId="0" fontId="3" fillId="0" borderId="0" xfId="0" applyFont="1"/>
    <xf numFmtId="166" fontId="0" fillId="3" borderId="0" xfId="2" applyNumberFormat="1" applyFont="1" applyFill="1"/>
    <xf numFmtId="0" fontId="0" fillId="3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4" fontId="0" fillId="0" borderId="0" xfId="2" applyFont="1" applyFill="1"/>
    <xf numFmtId="168" fontId="0" fillId="0" borderId="0" xfId="1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ACDB6-F0C7-40D8-A753-1B19BDAE9868}">
  <dimension ref="A1:M37"/>
  <sheetViews>
    <sheetView tabSelected="1" workbookViewId="0">
      <selection activeCell="G23" sqref="G23"/>
    </sheetView>
  </sheetViews>
  <sheetFormatPr defaultRowHeight="15"/>
  <cols>
    <col min="2" max="2" width="13.42578125" bestFit="1" customWidth="1"/>
    <col min="3" max="3" width="51.140625" bestFit="1" customWidth="1"/>
    <col min="4" max="4" width="14.7109375" customWidth="1"/>
    <col min="6" max="6" width="14" customWidth="1"/>
    <col min="7" max="7" width="11.42578125" customWidth="1"/>
    <col min="11" max="11" width="13.28515625" hidden="1" customWidth="1"/>
    <col min="12" max="12" width="16.28515625" hidden="1" customWidth="1"/>
    <col min="13" max="13" width="8.85546875" hidden="1" customWidth="1"/>
  </cols>
  <sheetData>
    <row r="1" spans="1:13" ht="18.75">
      <c r="A1" s="18" t="s">
        <v>39</v>
      </c>
    </row>
    <row r="3" spans="1:13">
      <c r="C3" t="s">
        <v>27</v>
      </c>
      <c r="D3" s="19">
        <v>0</v>
      </c>
    </row>
    <row r="4" spans="1:13">
      <c r="C4" t="s">
        <v>22</v>
      </c>
      <c r="D4" s="20" t="s">
        <v>16</v>
      </c>
    </row>
    <row r="5" spans="1:13">
      <c r="C5" t="s">
        <v>25</v>
      </c>
      <c r="D5" s="20" t="s">
        <v>24</v>
      </c>
    </row>
    <row r="6" spans="1:13">
      <c r="C6" t="s">
        <v>28</v>
      </c>
      <c r="D6" s="20" t="s">
        <v>29</v>
      </c>
    </row>
    <row r="8" spans="1:13">
      <c r="C8" t="s">
        <v>11</v>
      </c>
      <c r="D8" s="11">
        <v>0</v>
      </c>
      <c r="E8" t="str">
        <f>IF($D$6=$M$10,"&lt;-- Enter total available here","")</f>
        <v>&lt;-- Enter total available here</v>
      </c>
    </row>
    <row r="9" spans="1:13">
      <c r="C9" t="s">
        <v>12</v>
      </c>
      <c r="D9" s="17">
        <f>(-$L$16+SQRT(POWER($L$16,2)-(4*$L$15*$L$17)))/(2*$L$15)</f>
        <v>0</v>
      </c>
      <c r="E9" t="str">
        <f>IF($D$6=$M$10,"&lt;-- Summer salary amount to pay","")</f>
        <v>&lt;-- Summer salary amount to pay</v>
      </c>
    </row>
    <row r="10" spans="1:13">
      <c r="K10" t="s">
        <v>21</v>
      </c>
      <c r="L10" t="s">
        <v>15</v>
      </c>
      <c r="M10" t="s">
        <v>29</v>
      </c>
    </row>
    <row r="11" spans="1:13">
      <c r="C11" t="s">
        <v>12</v>
      </c>
      <c r="D11" s="11">
        <v>0</v>
      </c>
      <c r="E11" t="str">
        <f>IF($D$6=$M$11,"&lt;-- Enter summer salary amount here","")</f>
        <v/>
      </c>
      <c r="K11" t="s">
        <v>16</v>
      </c>
      <c r="L11" t="s">
        <v>24</v>
      </c>
      <c r="M11" t="s">
        <v>30</v>
      </c>
    </row>
    <row r="13" spans="1:13">
      <c r="A13" s="1" t="s">
        <v>33</v>
      </c>
    </row>
    <row r="14" spans="1:13" ht="15.75" thickBot="1">
      <c r="B14" t="s">
        <v>17</v>
      </c>
      <c r="D14" s="13">
        <f>(+$D$3/12)+IF($D$6=$M$10,D9,IF($D$6=$M$11,D11,0))</f>
        <v>0</v>
      </c>
    </row>
    <row r="15" spans="1:13" ht="15.75" thickTop="1">
      <c r="B15" t="s">
        <v>0</v>
      </c>
      <c r="D15" s="2"/>
      <c r="E15" s="3" t="s">
        <v>1</v>
      </c>
      <c r="K15" t="s">
        <v>19</v>
      </c>
      <c r="L15" s="10">
        <f>1+(E22+E21+E20+E19+E17+IF((D3/12)+(D8/(1.25))&lt;(G16/12),E16,0))</f>
        <v>1.2344999999999999</v>
      </c>
    </row>
    <row r="16" spans="1:13">
      <c r="C16" t="s">
        <v>2</v>
      </c>
      <c r="D16" s="6">
        <f>IF(D14&lt;(G16/12),+D14*E16,+(G16/12)*E16)</f>
        <v>0</v>
      </c>
      <c r="E16" s="15">
        <v>6.2E-2</v>
      </c>
      <c r="F16" s="8" t="s">
        <v>13</v>
      </c>
      <c r="G16" s="12">
        <v>160200</v>
      </c>
      <c r="K16" s="10" t="s">
        <v>18</v>
      </c>
      <c r="L16" s="10">
        <f>(D3/12)+((E22+E21+E20+E19+E17+IF((D3/12)+(D8/(1.25))&lt;(G16/12),E16,0))*(D3/12))-D8+E18+IF((D3/12)+(D8/(1.25))&gt;(G16/12),((G16/12)*E16),0)</f>
        <v>629.75</v>
      </c>
    </row>
    <row r="17" spans="1:12">
      <c r="C17" t="s">
        <v>3</v>
      </c>
      <c r="D17" s="6">
        <f>+D14*E17</f>
        <v>0</v>
      </c>
      <c r="E17" s="15">
        <v>1.4500000000000001E-2</v>
      </c>
      <c r="K17" t="s">
        <v>20</v>
      </c>
      <c r="L17">
        <f>-D8*(D3/12)</f>
        <v>0</v>
      </c>
    </row>
    <row r="18" spans="1:12">
      <c r="C18" t="s">
        <v>4</v>
      </c>
      <c r="D18" s="6">
        <f>E18</f>
        <v>629.75</v>
      </c>
      <c r="E18" s="4">
        <f>7557/12</f>
        <v>629.75</v>
      </c>
      <c r="F18" t="s">
        <v>14</v>
      </c>
      <c r="H18" s="4"/>
    </row>
    <row r="19" spans="1:12">
      <c r="C19" t="s">
        <v>5</v>
      </c>
      <c r="D19" s="6">
        <f>+$D$14*E19</f>
        <v>0</v>
      </c>
      <c r="E19" s="15">
        <f>IF(D5="State",0,0.01)</f>
        <v>0.01</v>
      </c>
      <c r="F19" t="s">
        <v>26</v>
      </c>
      <c r="H19" s="4"/>
    </row>
    <row r="20" spans="1:12">
      <c r="C20" t="s">
        <v>6</v>
      </c>
      <c r="D20" s="6">
        <f>+$D$14*E20</f>
        <v>0</v>
      </c>
      <c r="E20" s="15">
        <v>3.0000000000000001E-3</v>
      </c>
      <c r="H20" s="4"/>
    </row>
    <row r="21" spans="1:12">
      <c r="C21" t="s">
        <v>7</v>
      </c>
      <c r="D21" s="6">
        <f>+$D$14*E21</f>
        <v>0</v>
      </c>
      <c r="E21" s="15">
        <v>5.4000000000000003E-3</v>
      </c>
    </row>
    <row r="22" spans="1:12">
      <c r="C22" s="7" t="s">
        <v>8</v>
      </c>
      <c r="D22" s="6">
        <f>+$D$14*E22</f>
        <v>0</v>
      </c>
      <c r="E22" s="15">
        <f>IF(D4="TSERS",G22,G23)</f>
        <v>0.1396</v>
      </c>
      <c r="F22" s="9" t="s">
        <v>23</v>
      </c>
      <c r="G22" s="5">
        <v>0.2404</v>
      </c>
    </row>
    <row r="23" spans="1:12">
      <c r="C23" s="1"/>
      <c r="D23" s="2"/>
      <c r="F23" s="9" t="s">
        <v>16</v>
      </c>
      <c r="G23" s="5">
        <v>0.1396</v>
      </c>
    </row>
    <row r="24" spans="1:12" ht="15.75" thickBot="1">
      <c r="B24" t="s">
        <v>9</v>
      </c>
      <c r="D24" s="13">
        <f>SUM(D16:D23)</f>
        <v>629.75</v>
      </c>
      <c r="F24" s="9"/>
      <c r="G24" s="30"/>
    </row>
    <row r="25" spans="1:12" ht="16.5" thickTop="1" thickBot="1">
      <c r="B25" t="s">
        <v>10</v>
      </c>
      <c r="D25" s="14">
        <f>IFERROR(+D24/D14,0)</f>
        <v>0</v>
      </c>
    </row>
    <row r="26" spans="1:12" ht="15.75" thickTop="1"/>
    <row r="27" spans="1:12">
      <c r="C27" t="s">
        <v>31</v>
      </c>
      <c r="D27" s="16">
        <f>IF($D$6=$M$10,D9*D25,IF($D$6=$M$11,D11*D25,0))</f>
        <v>0</v>
      </c>
    </row>
    <row r="28" spans="1:12">
      <c r="C28" t="s">
        <v>32</v>
      </c>
      <c r="D28" s="29">
        <f>IF($D$6=$M$10,D9+D27,IF($D$6=$M$11,D11+D27,0))</f>
        <v>0</v>
      </c>
      <c r="E28" s="4"/>
    </row>
    <row r="29" spans="1:12">
      <c r="E29" s="4"/>
    </row>
    <row r="30" spans="1:12">
      <c r="A30" s="21" t="s">
        <v>34</v>
      </c>
      <c r="B30" s="22"/>
      <c r="C30" s="22"/>
      <c r="D30" s="22"/>
      <c r="E30" s="22"/>
      <c r="F30" s="22"/>
      <c r="G30" s="23"/>
    </row>
    <row r="31" spans="1:12">
      <c r="A31" s="24"/>
      <c r="G31" s="25"/>
    </row>
    <row r="32" spans="1:12">
      <c r="A32" s="26"/>
      <c r="B32" s="27"/>
      <c r="C32" s="27"/>
      <c r="D32" s="27"/>
      <c r="E32" s="27"/>
      <c r="F32" s="27"/>
      <c r="G32" s="28"/>
    </row>
    <row r="34" spans="1:2">
      <c r="A34" t="s">
        <v>35</v>
      </c>
    </row>
    <row r="35" spans="1:2">
      <c r="B35" t="s">
        <v>36</v>
      </c>
    </row>
    <row r="36" spans="1:2">
      <c r="B36" t="s">
        <v>37</v>
      </c>
    </row>
    <row r="37" spans="1:2">
      <c r="B37" t="s">
        <v>38</v>
      </c>
    </row>
  </sheetData>
  <sheetProtection algorithmName="SHA-512" hashValue="xYRnpp6J/uw7Q+sFlMBGh/t4Us99yu4nIwa0CdNhauMSc70rebCan+YjZvxZOQBxUDqvUvwj5vwTXpfnN+/ASA==" saltValue="98T/Ib8JdUurGgrL3RUsBA==" spinCount="100000" sheet="1" objects="1" scenarios="1"/>
  <protectedRanges>
    <protectedRange sqref="A30:G32" name="Scratch"/>
    <protectedRange sqref="D3:D6" name="Conditions"/>
    <protectedRange sqref="D8" name="Available"/>
    <protectedRange sqref="D11" name="SS amount"/>
  </protectedRanges>
  <conditionalFormatting sqref="D8">
    <cfRule type="expression" dxfId="3" priority="4">
      <formula>$D$6=$M$10</formula>
    </cfRule>
  </conditionalFormatting>
  <conditionalFormatting sqref="D9">
    <cfRule type="expression" dxfId="2" priority="2">
      <formula>$D$6=$M$10</formula>
    </cfRule>
  </conditionalFormatting>
  <conditionalFormatting sqref="D11">
    <cfRule type="expression" dxfId="1" priority="3">
      <formula>$D$6=$M$11</formula>
    </cfRule>
  </conditionalFormatting>
  <conditionalFormatting sqref="D28">
    <cfRule type="expression" dxfId="0" priority="1">
      <formula>$D$6=$M$11</formula>
    </cfRule>
  </conditionalFormatting>
  <dataValidations disablePrompts="1" count="4">
    <dataValidation type="list" allowBlank="1" showInputMessage="1" showErrorMessage="1" sqref="D4" xr:uid="{A9C359E5-3A0A-459D-8025-D8F25ACE9F26}">
      <formula1>$K$10:$K$11</formula1>
    </dataValidation>
    <dataValidation type="list" allowBlank="1" showInputMessage="1" showErrorMessage="1" sqref="D6" xr:uid="{944B1333-A8B1-4E28-8063-52F2B6DF7820}">
      <formula1>$M$10:$M$11</formula1>
    </dataValidation>
    <dataValidation type="list" allowBlank="1" showInputMessage="1" showErrorMessage="1" sqref="D5" xr:uid="{4A55C2D4-BAA0-4D62-8804-2493E2D77280}">
      <formula1>$L$10:$L$11</formula1>
    </dataValidation>
    <dataValidation type="decimal" operator="greaterThanOrEqual" allowBlank="1" showInputMessage="1" showErrorMessage="1" sqref="D8 D11 D3" xr:uid="{3E48C381-CB12-4D15-86BD-45D691366C12}">
      <formula1>0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Salary Fringe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Pulliam, Jordan</dc:creator>
  <cp:lastModifiedBy>Pulliam, Jordan</cp:lastModifiedBy>
  <dcterms:created xsi:type="dcterms:W3CDTF">2021-04-27T21:03:11Z</dcterms:created>
  <dcterms:modified xsi:type="dcterms:W3CDTF">2024-06-27T20:13:36Z</dcterms:modified>
</cp:coreProperties>
</file>