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ordanp\Desktop\Website Update Docs\Finance\"/>
    </mc:Choice>
  </mc:AlternateContent>
  <xr:revisionPtr revIDLastSave="0" documentId="8_{84F4F371-9F6D-4E02-B12D-6888ECC65DBA}" xr6:coauthVersionLast="47" xr6:coauthVersionMax="47" xr10:uidLastSave="{00000000-0000-0000-0000-000000000000}"/>
  <workbookProtection workbookAlgorithmName="SHA-512" workbookHashValue="XMyaz5GXFJjXQ6vISkaJM+s/c2xDA1vhIOL3CyqmcG0b0R8SeByJJU914PTxilkD5QC9Kl2g6/W4hQMNsJVEZw==" workbookSaltValue="MNMd2qAD01CAkR8NnQmbhw==" workbookSpinCount="100000" lockStructure="1"/>
  <bookViews>
    <workbookView xWindow="20" yWindow="1560" windowWidth="19180" windowHeight="10230" xr2:uid="{FF52B387-0502-4B20-B4DE-C7B137F05818}"/>
  </bookViews>
  <sheets>
    <sheet name="Net Salary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2" i="1"/>
  <c r="E10" i="1"/>
  <c r="E9" i="1"/>
  <c r="D15" i="1" l="1"/>
  <c r="D17" i="1" s="1"/>
  <c r="D19" i="1" l="1"/>
  <c r="D18" i="1"/>
  <c r="E20" i="1"/>
  <c r="E23" i="1"/>
  <c r="D23" i="1" s="1"/>
  <c r="D22" i="1" l="1"/>
  <c r="D21" i="1" l="1"/>
  <c r="D20" i="1"/>
  <c r="D25" i="1" l="1"/>
  <c r="D26" i="1" l="1"/>
  <c r="D10" i="1" s="1"/>
  <c r="D28" i="1" l="1"/>
  <c r="D29" i="1" s="1"/>
</calcChain>
</file>

<file path=xl/sharedStrings.xml><?xml version="1.0" encoding="utf-8"?>
<sst xmlns="http://schemas.openxmlformats.org/spreadsheetml/2006/main" count="45" uniqueCount="40">
  <si>
    <t>Benefits</t>
  </si>
  <si>
    <t>Rates</t>
  </si>
  <si>
    <t>Social Security (515120)</t>
  </si>
  <si>
    <t>Medicare (515130)</t>
  </si>
  <si>
    <t>Health (515530)</t>
  </si>
  <si>
    <t>Composite Benefit Fund (516120)</t>
  </si>
  <si>
    <t>Transit Fee (521110)</t>
  </si>
  <si>
    <t>Telecom Fee (521210)</t>
  </si>
  <si>
    <t>Retirement (515210 State, 515410 TIAA, 515450 Fidelity)</t>
  </si>
  <si>
    <t>Total Benefits</t>
  </si>
  <si>
    <t>Benefit Rate</t>
  </si>
  <si>
    <t>up to</t>
  </si>
  <si>
    <t>per month</t>
  </si>
  <si>
    <t>State</t>
  </si>
  <si>
    <t>ORP</t>
  </si>
  <si>
    <t>TSERS</t>
  </si>
  <si>
    <t>Retirement Plan</t>
  </si>
  <si>
    <t>State (TSERS)</t>
  </si>
  <si>
    <t>Non-State</t>
  </si>
  <si>
    <t>Funding Type</t>
  </si>
  <si>
    <t>Non-State only</t>
  </si>
  <si>
    <t>9-month Base Salary Rate (do not include supplements)</t>
  </si>
  <si>
    <t>Calculation type</t>
  </si>
  <si>
    <t>Semester</t>
  </si>
  <si>
    <t>Annual</t>
  </si>
  <si>
    <t>Calculation:</t>
  </si>
  <si>
    <t>Base salary</t>
  </si>
  <si>
    <t>Scratch area</t>
  </si>
  <si>
    <t>Directions:</t>
  </si>
  <si>
    <t>1. Enter salary, benefits, funding, term, and outside support in the tan cells</t>
  </si>
  <si>
    <t>Know salary amount, determining total cost</t>
  </si>
  <si>
    <t>Available Funding</t>
  </si>
  <si>
    <t>Outside agency salary total</t>
  </si>
  <si>
    <t>Outside agancy salary support amount</t>
  </si>
  <si>
    <t>Total outside agency cost (salary + benefits)</t>
  </si>
  <si>
    <t>Outside agency benefits cost</t>
  </si>
  <si>
    <t>Know outside agency total amount, determining salary amount</t>
  </si>
  <si>
    <t>2. A cell will highlight yellow based on calculation type to enter available funding or summer salary amount</t>
  </si>
  <si>
    <t>3. Output will apprear in the green cells</t>
  </si>
  <si>
    <t>Net Salary Calculator (FY2024)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</si>
</sst>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CG Times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quotePrefix="1" applyAlignment="1">
      <alignment horizontal="left"/>
    </xf>
    <xf numFmtId="3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/>
    <xf numFmtId="10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43" fontId="0" fillId="0" borderId="0" xfId="1" applyFont="1"/>
    <xf numFmtId="44" fontId="0" fillId="0" borderId="0" xfId="2" applyFont="1"/>
    <xf numFmtId="166" fontId="0" fillId="0" borderId="0" xfId="2" applyNumberFormat="1" applyFont="1"/>
    <xf numFmtId="166" fontId="0" fillId="0" borderId="1" xfId="2" applyNumberFormat="1" applyFont="1" applyBorder="1"/>
    <xf numFmtId="167" fontId="0" fillId="0" borderId="2" xfId="3" applyNumberFormat="1" applyFont="1" applyBorder="1"/>
    <xf numFmtId="10" fontId="0" fillId="0" borderId="0" xfId="3" applyNumberFormat="1" applyFont="1"/>
    <xf numFmtId="44" fontId="0" fillId="2" borderId="0" xfId="2" applyFont="1" applyFill="1"/>
    <xf numFmtId="0" fontId="3" fillId="0" borderId="0" xfId="0" applyFont="1"/>
    <xf numFmtId="166" fontId="0" fillId="3" borderId="0" xfId="2" applyNumberFormat="1" applyFont="1" applyFill="1"/>
    <xf numFmtId="0" fontId="0" fillId="3" borderId="0" xfId="0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4" fontId="0" fillId="0" borderId="0" xfId="2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ACDB6-F0C7-40D8-A753-1B19BDAE9868}">
  <dimension ref="A1:N38"/>
  <sheetViews>
    <sheetView tabSelected="1" workbookViewId="0"/>
  </sheetViews>
  <sheetFormatPr defaultRowHeight="15"/>
  <cols>
    <col min="2" max="2" width="13.42578125" bestFit="1" customWidth="1"/>
    <col min="3" max="3" width="51.140625" bestFit="1" customWidth="1"/>
    <col min="4" max="4" width="14.7109375" customWidth="1"/>
    <col min="6" max="6" width="14" customWidth="1"/>
    <col min="7" max="7" width="11.42578125" customWidth="1"/>
    <col min="11" max="11" width="13.28515625" hidden="1" customWidth="1"/>
    <col min="12" max="12" width="16.28515625" hidden="1" customWidth="1"/>
    <col min="13" max="13" width="9.140625" hidden="1" customWidth="1"/>
    <col min="14" max="14" width="0" hidden="1" customWidth="1"/>
  </cols>
  <sheetData>
    <row r="1" spans="1:14" ht="18.75">
      <c r="A1" s="17" t="s">
        <v>39</v>
      </c>
    </row>
    <row r="3" spans="1:14">
      <c r="C3" t="s">
        <v>21</v>
      </c>
      <c r="D3" s="18">
        <v>0</v>
      </c>
    </row>
    <row r="4" spans="1:14">
      <c r="C4" t="s">
        <v>16</v>
      </c>
      <c r="D4" s="19" t="s">
        <v>14</v>
      </c>
    </row>
    <row r="5" spans="1:14">
      <c r="C5" t="s">
        <v>19</v>
      </c>
      <c r="D5" s="19" t="s">
        <v>18</v>
      </c>
    </row>
    <row r="6" spans="1:14">
      <c r="C6" t="s">
        <v>22</v>
      </c>
      <c r="D6" s="19" t="s">
        <v>23</v>
      </c>
    </row>
    <row r="7" spans="1:14">
      <c r="D7" s="19" t="s">
        <v>36</v>
      </c>
    </row>
    <row r="9" spans="1:14">
      <c r="C9" t="s">
        <v>31</v>
      </c>
      <c r="D9" s="11">
        <v>0</v>
      </c>
      <c r="E9" t="str">
        <f>IF($D$7=$N$14,"&lt;-- Enter total available funding here","")</f>
        <v>&lt;-- Enter total available funding here</v>
      </c>
    </row>
    <row r="10" spans="1:14">
      <c r="C10" t="s">
        <v>32</v>
      </c>
      <c r="D10" s="11">
        <f>IFERROR(D9/(1+D26),0)</f>
        <v>0</v>
      </c>
      <c r="E10" t="str">
        <f>IF($D$7=$N$14,"&lt;-- Salary to charge to outside agency funds","")</f>
        <v>&lt;-- Salary to charge to outside agency funds</v>
      </c>
    </row>
    <row r="12" spans="1:14">
      <c r="C12" t="s">
        <v>33</v>
      </c>
      <c r="D12" s="28">
        <v>0</v>
      </c>
      <c r="E12" t="str">
        <f>IF($D$7=N15,"&lt;-- Enter salary covered by outside agency","")</f>
        <v/>
      </c>
    </row>
    <row r="14" spans="1:14">
      <c r="A14" s="1" t="s">
        <v>25</v>
      </c>
      <c r="K14" t="s">
        <v>15</v>
      </c>
      <c r="L14" t="s">
        <v>13</v>
      </c>
      <c r="M14" t="s">
        <v>23</v>
      </c>
      <c r="N14" t="s">
        <v>36</v>
      </c>
    </row>
    <row r="15" spans="1:14" ht="15.75" thickBot="1">
      <c r="B15" t="s">
        <v>26</v>
      </c>
      <c r="D15" s="13">
        <f>IF($D$6=$M$14,D3/2,IF($D$6=$M$15,D3,0))</f>
        <v>0</v>
      </c>
      <c r="K15" t="s">
        <v>14</v>
      </c>
      <c r="L15" t="s">
        <v>18</v>
      </c>
      <c r="M15" t="s">
        <v>24</v>
      </c>
      <c r="N15" t="s">
        <v>30</v>
      </c>
    </row>
    <row r="16" spans="1:14" ht="15.75" thickTop="1">
      <c r="B16" t="s">
        <v>0</v>
      </c>
      <c r="D16" s="2"/>
      <c r="E16" s="3" t="s">
        <v>1</v>
      </c>
    </row>
    <row r="17" spans="1:12">
      <c r="C17" t="s">
        <v>2</v>
      </c>
      <c r="D17" s="6">
        <f>IF($D$3&lt;$G$17,$D$15*$E$17,IF($D$6=$M$14,($G$17/2)*$E$17,$G$17*$E$17))</f>
        <v>0</v>
      </c>
      <c r="E17" s="15">
        <v>6.2E-2</v>
      </c>
      <c r="F17" s="8" t="s">
        <v>11</v>
      </c>
      <c r="G17" s="12">
        <v>160200</v>
      </c>
    </row>
    <row r="18" spans="1:12">
      <c r="C18" t="s">
        <v>3</v>
      </c>
      <c r="D18" s="6">
        <f>+D15*E18</f>
        <v>0</v>
      </c>
      <c r="E18" s="15">
        <v>1.4500000000000001E-2</v>
      </c>
    </row>
    <row r="19" spans="1:12">
      <c r="C19" t="s">
        <v>4</v>
      </c>
      <c r="D19" s="6">
        <f>IF($D$6=$M$14,E19*6,IF($D$6=$M$15,E19*12,0))</f>
        <v>3778.5</v>
      </c>
      <c r="E19" s="11">
        <f>7557/12</f>
        <v>629.75</v>
      </c>
      <c r="F19" t="s">
        <v>12</v>
      </c>
      <c r="L19" s="10"/>
    </row>
    <row r="20" spans="1:12">
      <c r="C20" t="s">
        <v>5</v>
      </c>
      <c r="D20" s="6">
        <f>+$D$15*E20</f>
        <v>0</v>
      </c>
      <c r="E20" s="15">
        <f>IF(D5="State",0,0.01)</f>
        <v>0.01</v>
      </c>
      <c r="F20" t="s">
        <v>20</v>
      </c>
      <c r="K20" s="10"/>
      <c r="L20" s="10"/>
    </row>
    <row r="21" spans="1:12">
      <c r="C21" t="s">
        <v>6</v>
      </c>
      <c r="D21" s="6">
        <f>+$D$15*E21</f>
        <v>0</v>
      </c>
      <c r="E21" s="15">
        <v>3.0000000000000001E-3</v>
      </c>
    </row>
    <row r="22" spans="1:12">
      <c r="C22" t="s">
        <v>7</v>
      </c>
      <c r="D22" s="6">
        <f>+$D$15*E22</f>
        <v>0</v>
      </c>
      <c r="E22" s="15">
        <v>5.4000000000000003E-3</v>
      </c>
    </row>
    <row r="23" spans="1:12">
      <c r="C23" s="7" t="s">
        <v>8</v>
      </c>
      <c r="D23" s="6">
        <f>+$D$15*E23</f>
        <v>0</v>
      </c>
      <c r="E23" s="15">
        <f>IF(D4="TSERS",G23,G24)</f>
        <v>0.1409</v>
      </c>
      <c r="F23" s="9" t="s">
        <v>17</v>
      </c>
      <c r="G23" s="5">
        <v>0.25019999999999998</v>
      </c>
    </row>
    <row r="24" spans="1:12">
      <c r="C24" s="1"/>
      <c r="D24" s="2"/>
      <c r="F24" s="9" t="s">
        <v>14</v>
      </c>
      <c r="G24" s="5">
        <v>0.1409</v>
      </c>
    </row>
    <row r="25" spans="1:12" ht="15.75" thickBot="1">
      <c r="B25" t="s">
        <v>9</v>
      </c>
      <c r="D25" s="13">
        <f>SUM(D17:D24)</f>
        <v>3778.5</v>
      </c>
      <c r="F25" s="9"/>
      <c r="G25" s="12"/>
    </row>
    <row r="26" spans="1:12" ht="16.5" thickTop="1" thickBot="1">
      <c r="B26" t="s">
        <v>10</v>
      </c>
      <c r="D26" s="14">
        <f>IFERROR(+$D$25/$D$15,0)</f>
        <v>0</v>
      </c>
    </row>
    <row r="27" spans="1:12" ht="15.75" thickTop="1"/>
    <row r="28" spans="1:12">
      <c r="C28" t="s">
        <v>35</v>
      </c>
      <c r="D28" s="16">
        <f>IF($D$7=$N$15,D12*D26,IF(D7=N14,D10*D26,0))</f>
        <v>0</v>
      </c>
    </row>
    <row r="29" spans="1:12">
      <c r="C29" t="s">
        <v>34</v>
      </c>
      <c r="D29" s="11">
        <f>IF($D$7=$N$15,D12+D28,0)</f>
        <v>0</v>
      </c>
      <c r="E29" s="4"/>
    </row>
    <row r="31" spans="1:12">
      <c r="A31" s="20" t="s">
        <v>27</v>
      </c>
      <c r="B31" s="21"/>
      <c r="C31" s="21"/>
      <c r="D31" s="21"/>
      <c r="E31" s="21"/>
      <c r="F31" s="21"/>
      <c r="G31" s="22"/>
    </row>
    <row r="32" spans="1:12">
      <c r="A32" s="23"/>
      <c r="G32" s="24"/>
    </row>
    <row r="33" spans="1:7">
      <c r="A33" s="25"/>
      <c r="B33" s="26"/>
      <c r="C33" s="26"/>
      <c r="D33" s="26"/>
      <c r="E33" s="26"/>
      <c r="F33" s="26"/>
      <c r="G33" s="27"/>
    </row>
    <row r="34" spans="1:7">
      <c r="E34" s="4"/>
    </row>
    <row r="35" spans="1:7">
      <c r="A35" t="s">
        <v>28</v>
      </c>
    </row>
    <row r="36" spans="1:7">
      <c r="B36" t="s">
        <v>29</v>
      </c>
    </row>
    <row r="37" spans="1:7">
      <c r="B37" t="s">
        <v>37</v>
      </c>
    </row>
    <row r="38" spans="1:7">
      <c r="B38" t="s">
        <v>38</v>
      </c>
    </row>
  </sheetData>
  <sheetProtection algorithmName="SHA-512" hashValue="i7OGw2rYXMA/HWY+Z9od7KlUretN4ezEwM9wkTnXol3ImIdS4+xxDDfkGlqkQlw0rPWYcXiP9ZtN2PjsjmfsqA==" saltValue="lc6I4AsP9WHtSGwmbe1jNA==" spinCount="100000" sheet="1" objects="1" scenarios="1"/>
  <protectedRanges>
    <protectedRange sqref="D12" name="Outside support"/>
    <protectedRange sqref="D9" name="Avail Fund"/>
    <protectedRange sqref="D3:D7" name="Conditions"/>
    <protectedRange sqref="A31:G33" name="Scratch"/>
  </protectedRanges>
  <conditionalFormatting sqref="D9">
    <cfRule type="expression" dxfId="3" priority="4">
      <formula>$D$7=$N$14</formula>
    </cfRule>
  </conditionalFormatting>
  <conditionalFormatting sqref="D10">
    <cfRule type="expression" dxfId="2" priority="3">
      <formula>$D$7=$N$14</formula>
    </cfRule>
  </conditionalFormatting>
  <conditionalFormatting sqref="D12">
    <cfRule type="expression" dxfId="1" priority="1">
      <formula>$D$7=$N$15</formula>
    </cfRule>
  </conditionalFormatting>
  <conditionalFormatting sqref="D29">
    <cfRule type="expression" dxfId="0" priority="2">
      <formula>$D$7=$N$15</formula>
    </cfRule>
  </conditionalFormatting>
  <dataValidations count="5">
    <dataValidation type="list" allowBlank="1" showInputMessage="1" showErrorMessage="1" sqref="D4" xr:uid="{A9C359E5-3A0A-459D-8025-D8F25ACE9F26}">
      <formula1>$K$14:$K$15</formula1>
    </dataValidation>
    <dataValidation type="list" allowBlank="1" showInputMessage="1" showErrorMessage="1" sqref="D6" xr:uid="{944B1333-A8B1-4E28-8063-52F2B6DF7820}">
      <formula1>$M$14:$M$15</formula1>
    </dataValidation>
    <dataValidation type="list" allowBlank="1" showInputMessage="1" showErrorMessage="1" sqref="D5" xr:uid="{4A55C2D4-BAA0-4D62-8804-2493E2D77280}">
      <formula1>$L$14:$L$15</formula1>
    </dataValidation>
    <dataValidation type="decimal" operator="greaterThanOrEqual" allowBlank="1" showInputMessage="1" showErrorMessage="1" sqref="D3 D9:D10 D12" xr:uid="{3E48C381-CB12-4D15-86BD-45D691366C12}">
      <formula1>0</formula1>
    </dataValidation>
    <dataValidation type="list" allowBlank="1" showInputMessage="1" showErrorMessage="1" sqref="D7" xr:uid="{54BC6AAD-62D0-47A4-ACCD-9E8E5D8F003C}">
      <formula1>$N$14:$N$15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Salary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2021-04-27T21:03:11Z</dcterms:created>
  <dcterms:modified xsi:type="dcterms:W3CDTF">2023-10-12T15:44:24Z</dcterms:modified>
</cp:coreProperties>
</file>